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org\Zorgteam Cure\Huisartsen\Overeenkomsten\OVK 2021\1. Huisartsenzorg (alleen de aangepaste delen per 2021)\"/>
    </mc:Choice>
  </mc:AlternateContent>
  <xr:revisionPtr revIDLastSave="0" documentId="13_ncr:1_{44BDB238-7FAC-481C-AD56-C044DB47926A}" xr6:coauthVersionLast="45" xr6:coauthVersionMax="45" xr10:uidLastSave="{00000000-0000-0000-0000-000000000000}"/>
  <bookViews>
    <workbookView xWindow="380" yWindow="90" windowWidth="18370" windowHeight="9990" xr2:uid="{98DF926F-58ED-4370-93F0-ADAA9DB5E137}"/>
  </bookViews>
  <sheets>
    <sheet name="Rekentool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2" l="1"/>
  <c r="E45" i="2"/>
  <c r="E44" i="2"/>
  <c r="E43" i="2"/>
  <c r="E42" i="2"/>
  <c r="B25" i="2"/>
  <c r="E19" i="2"/>
  <c r="E18" i="2"/>
  <c r="E17" i="2"/>
  <c r="E16" i="2"/>
  <c r="E15" i="2"/>
  <c r="B10" i="2"/>
  <c r="B21" i="2" l="1"/>
  <c r="C19" i="2"/>
  <c r="C18" i="2"/>
  <c r="C16" i="2"/>
  <c r="C17" i="2"/>
  <c r="C15" i="2"/>
  <c r="C43" i="2"/>
  <c r="B31" i="2" l="1"/>
  <c r="B6" i="2"/>
  <c r="B32" i="2" l="1"/>
  <c r="B34" i="2" s="1"/>
  <c r="B33" i="2"/>
  <c r="B48" i="2"/>
  <c r="B38" i="2" l="1"/>
</calcChain>
</file>

<file path=xl/sharedStrings.xml><?xml version="1.0" encoding="utf-8"?>
<sst xmlns="http://schemas.openxmlformats.org/spreadsheetml/2006/main" count="45" uniqueCount="36">
  <si>
    <t>DM2</t>
  </si>
  <si>
    <t>VVR</t>
  </si>
  <si>
    <t>HVZ</t>
  </si>
  <si>
    <t>COPD</t>
  </si>
  <si>
    <t>Astma</t>
  </si>
  <si>
    <t>Aantal uur daadwerkelijke POH-S inzet per week</t>
  </si>
  <si>
    <t>VUL DE GELE VELDEN IN</t>
  </si>
  <si>
    <t xml:space="preserve">Totaal aantal patiënten </t>
  </si>
  <si>
    <t>Aantal patiënten per chronische groep</t>
  </si>
  <si>
    <t>Maximaal te vergoeden aantal uur inzet</t>
  </si>
  <si>
    <t>De Nza beleidsregel rekent voor de POH-GGZ met maximaal 12 uur per 2350 patiënten.</t>
  </si>
  <si>
    <t>Aantal uur daadwerkelijke POH-GGZ inzet per week voor volwassenen</t>
  </si>
  <si>
    <t>POH-S kwartaaltarief op code 31080</t>
  </si>
  <si>
    <t>POH-GGZ kwartaaltarief voor uren inzet</t>
  </si>
  <si>
    <t>Neemt u voor deze keten deel aan Ketenzorg NU of Mediis?</t>
  </si>
  <si>
    <t>Ja</t>
  </si>
  <si>
    <t>Nee</t>
  </si>
  <si>
    <t>Aantal 75-plussers</t>
  </si>
  <si>
    <t>Percentage 75-plussers</t>
  </si>
  <si>
    <t>Normuren</t>
  </si>
  <si>
    <t>Normtarief</t>
  </si>
  <si>
    <t>Aantal uur daadwerkelijke POH-GCO inzet per week</t>
  </si>
  <si>
    <t>Maximaal te vergoeden uur per 2095 patiënten</t>
  </si>
  <si>
    <t>Maximaal te vergoeden jaartarief</t>
  </si>
  <si>
    <t>POH-GCO kwartaaltarief op code 31060</t>
  </si>
  <si>
    <t>Aantal uur ochtend/avondspreekuur door huisarts</t>
  </si>
  <si>
    <t>Aantal uur ochtend/avondspreekuur door assistente</t>
  </si>
  <si>
    <t>Mogelijkheid tot digitaal afspraken maken</t>
  </si>
  <si>
    <t>Mogelijkheid tot digitaal herhaalrecepten aanvragen</t>
  </si>
  <si>
    <t>Aantal uur telefonische bereikbaarheid per dag</t>
  </si>
  <si>
    <t>Service &amp; Bereikbaarheid kwartaaltarief op code 30121</t>
  </si>
  <si>
    <t xml:space="preserve">Hierbij worden eventuele bedragen voor beslisondersteunend instrument, e-mental health en/of overige afspraken nog opgeteld. Het resulterende totaalbedrag wordt verdeeld over codes 11201 en 31343. Hierbij wordt het bedrag tot €3,18 op code 11201 geplaatst, en een eventueel meerbedrag op code 31343. </t>
  </si>
  <si>
    <t>POH-GGZ 2021</t>
  </si>
  <si>
    <t>POH-S 2021</t>
  </si>
  <si>
    <t>POH-GCO 2021</t>
  </si>
  <si>
    <t>Service &amp; Bereikbaarheid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</si>
</sst>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4" borderId="6" xfId="0" applyFill="1" applyBorder="1" applyProtection="1"/>
    <xf numFmtId="0" fontId="0" fillId="4" borderId="0" xfId="0" applyFill="1" applyBorder="1" applyProtection="1"/>
    <xf numFmtId="0" fontId="0" fillId="4" borderId="7" xfId="0" applyFill="1" applyBorder="1" applyProtection="1"/>
    <xf numFmtId="0" fontId="0" fillId="5" borderId="0" xfId="0" applyFill="1" applyProtection="1"/>
    <xf numFmtId="0" fontId="0" fillId="4" borderId="8" xfId="0" applyFill="1" applyBorder="1" applyProtection="1"/>
    <xf numFmtId="44" fontId="0" fillId="3" borderId="2" xfId="1" applyFont="1" applyFill="1" applyBorder="1" applyProtection="1"/>
    <xf numFmtId="0" fontId="0" fillId="4" borderId="12" xfId="0" applyFill="1" applyBorder="1" applyProtection="1"/>
    <xf numFmtId="0" fontId="0" fillId="4" borderId="9" xfId="0" applyFill="1" applyBorder="1" applyProtection="1"/>
    <xf numFmtId="0" fontId="6" fillId="4" borderId="7" xfId="0" applyFont="1" applyFill="1" applyBorder="1" applyProtection="1"/>
    <xf numFmtId="0" fontId="2" fillId="4" borderId="3" xfId="0" applyFont="1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Alignment="1" applyProtection="1">
      <alignment horizontal="left"/>
    </xf>
    <xf numFmtId="10" fontId="0" fillId="4" borderId="1" xfId="2" applyNumberFormat="1" applyFont="1" applyFill="1" applyBorder="1" applyProtection="1"/>
    <xf numFmtId="0" fontId="0" fillId="4" borderId="1" xfId="0" applyFill="1" applyBorder="1" applyProtection="1"/>
    <xf numFmtId="0" fontId="3" fillId="4" borderId="0" xfId="0" applyFont="1" applyFill="1" applyBorder="1" applyProtection="1"/>
    <xf numFmtId="44" fontId="0" fillId="4" borderId="1" xfId="1" applyFont="1" applyFill="1" applyBorder="1" applyProtection="1"/>
    <xf numFmtId="164" fontId="0" fillId="4" borderId="1" xfId="0" applyNumberFormat="1" applyFill="1" applyBorder="1" applyProtection="1"/>
    <xf numFmtId="44" fontId="0" fillId="4" borderId="12" xfId="1" applyFont="1" applyFill="1" applyBorder="1" applyProtection="1"/>
    <xf numFmtId="2" fontId="0" fillId="4" borderId="1" xfId="0" applyNumberFormat="1" applyFill="1" applyBorder="1" applyProtection="1"/>
    <xf numFmtId="2" fontId="0" fillId="4" borderId="0" xfId="0" applyNumberFormat="1" applyFill="1" applyBorder="1" applyProtection="1"/>
    <xf numFmtId="0" fontId="0" fillId="4" borderId="6" xfId="0" applyFill="1" applyBorder="1" applyAlignment="1" applyProtection="1">
      <alignment horizontal="right"/>
    </xf>
    <xf numFmtId="0" fontId="4" fillId="5" borderId="0" xfId="0" applyFont="1" applyFill="1" applyProtection="1"/>
    <xf numFmtId="0" fontId="4" fillId="4" borderId="6" xfId="0" applyFont="1" applyFill="1" applyBorder="1" applyProtection="1"/>
    <xf numFmtId="0" fontId="0" fillId="4" borderId="8" xfId="0" applyFont="1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0" fillId="4" borderId="6" xfId="0" applyFont="1" applyFill="1" applyBorder="1" applyAlignment="1" applyProtection="1">
      <alignment wrapText="1"/>
    </xf>
    <xf numFmtId="0" fontId="2" fillId="4" borderId="6" xfId="0" applyFont="1" applyFill="1" applyBorder="1" applyProtection="1"/>
    <xf numFmtId="0" fontId="0" fillId="5" borderId="0" xfId="0" applyFill="1" applyBorder="1" applyProtection="1"/>
    <xf numFmtId="0" fontId="5" fillId="5" borderId="0" xfId="0" applyFont="1" applyFill="1" applyProtection="1"/>
    <xf numFmtId="0" fontId="2" fillId="4" borderId="10" xfId="0" applyFont="1" applyFill="1" applyBorder="1" applyAlignment="1" applyProtection="1">
      <alignment wrapText="1"/>
    </xf>
    <xf numFmtId="0" fontId="7" fillId="5" borderId="0" xfId="0" applyFont="1" applyFill="1" applyProtection="1"/>
    <xf numFmtId="0" fontId="8" fillId="4" borderId="0" xfId="0" applyFont="1" applyFill="1" applyBorder="1" applyProtection="1"/>
    <xf numFmtId="0" fontId="8" fillId="4" borderId="0" xfId="0" applyFont="1" applyFill="1" applyBorder="1" applyAlignment="1" applyProtection="1"/>
    <xf numFmtId="0" fontId="3" fillId="4" borderId="12" xfId="0" applyFont="1" applyFill="1" applyBorder="1" applyAlignment="1" applyProtection="1">
      <alignment horizontal="left" wrapText="1"/>
    </xf>
    <xf numFmtId="0" fontId="3" fillId="4" borderId="9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3" fillId="4" borderId="7" xfId="0" applyFont="1" applyFill="1" applyBorder="1" applyAlignment="1" applyProtection="1">
      <alignment horizontal="left" wrapText="1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CAD1-2F2F-4AB5-87C1-726FCADB84BD}">
  <dimension ref="A1:G48"/>
  <sheetViews>
    <sheetView tabSelected="1" zoomScaleNormal="100" workbookViewId="0"/>
  </sheetViews>
  <sheetFormatPr defaultColWidth="8.90625" defaultRowHeight="14.5" x14ac:dyDescent="0.35"/>
  <cols>
    <col min="1" max="1" width="58.6328125" style="6" bestFit="1" customWidth="1"/>
    <col min="2" max="2" width="21.453125" style="6" customWidth="1"/>
    <col min="3" max="3" width="17.81640625" style="6" customWidth="1"/>
    <col min="4" max="4" width="9.36328125" style="6" customWidth="1"/>
    <col min="5" max="5" width="77.90625" style="6" customWidth="1"/>
    <col min="6" max="16384" width="8.90625" style="6"/>
  </cols>
  <sheetData>
    <row r="1" spans="1:7" ht="21.5" thickBot="1" x14ac:dyDescent="0.55000000000000004">
      <c r="A1" s="34" t="s">
        <v>6</v>
      </c>
      <c r="G1" s="32" t="s">
        <v>15</v>
      </c>
    </row>
    <row r="2" spans="1:7" ht="15" thickBot="1" x14ac:dyDescent="0.4">
      <c r="A2" s="33" t="s">
        <v>7</v>
      </c>
      <c r="B2" s="2">
        <v>2095</v>
      </c>
      <c r="C2" s="31"/>
      <c r="D2" s="31"/>
      <c r="G2" s="32" t="s">
        <v>16</v>
      </c>
    </row>
    <row r="3" spans="1:7" ht="15" thickBot="1" x14ac:dyDescent="0.4">
      <c r="A3" s="25"/>
    </row>
    <row r="4" spans="1:7" x14ac:dyDescent="0.35">
      <c r="A4" s="12" t="s">
        <v>32</v>
      </c>
      <c r="B4" s="13"/>
      <c r="C4" s="13"/>
      <c r="D4" s="13"/>
      <c r="E4" s="14"/>
    </row>
    <row r="5" spans="1:7" x14ac:dyDescent="0.35">
      <c r="A5" s="30"/>
      <c r="B5" s="4"/>
      <c r="C5" s="4"/>
      <c r="D5" s="4"/>
      <c r="E5" s="5"/>
    </row>
    <row r="6" spans="1:7" x14ac:dyDescent="0.35">
      <c r="A6" s="15" t="s">
        <v>9</v>
      </c>
      <c r="B6" s="22">
        <f>B2/2350*12</f>
        <v>10.697872340425532</v>
      </c>
      <c r="C6" s="23"/>
      <c r="D6" s="39" t="s">
        <v>10</v>
      </c>
      <c r="E6" s="40"/>
    </row>
    <row r="7" spans="1:7" x14ac:dyDescent="0.35">
      <c r="A7" s="30"/>
      <c r="B7" s="4"/>
      <c r="C7" s="4"/>
      <c r="D7" s="4"/>
      <c r="E7" s="5"/>
    </row>
    <row r="8" spans="1:7" ht="29" x14ac:dyDescent="0.35">
      <c r="A8" s="29" t="s">
        <v>11</v>
      </c>
      <c r="B8" s="1"/>
      <c r="C8" s="4"/>
      <c r="D8" s="4"/>
      <c r="E8" s="5"/>
    </row>
    <row r="9" spans="1:7" x14ac:dyDescent="0.35">
      <c r="A9" s="26"/>
      <c r="B9" s="4"/>
      <c r="C9" s="4"/>
      <c r="D9" s="4"/>
      <c r="E9" s="5"/>
    </row>
    <row r="10" spans="1:7" ht="43.75" customHeight="1" thickBot="1" x14ac:dyDescent="0.4">
      <c r="A10" s="27" t="s">
        <v>13</v>
      </c>
      <c r="B10" s="8">
        <f>MIN(B8/B6*3.18, 3.18)</f>
        <v>0</v>
      </c>
      <c r="C10" s="21"/>
      <c r="D10" s="37" t="s">
        <v>31</v>
      </c>
      <c r="E10" s="38"/>
    </row>
    <row r="11" spans="1:7" ht="15" thickBot="1" x14ac:dyDescent="0.4"/>
    <row r="12" spans="1:7" x14ac:dyDescent="0.35">
      <c r="A12" s="12" t="s">
        <v>33</v>
      </c>
      <c r="B12" s="13"/>
      <c r="C12" s="13"/>
      <c r="D12" s="13"/>
      <c r="E12" s="14"/>
    </row>
    <row r="13" spans="1:7" x14ac:dyDescent="0.35">
      <c r="A13" s="3"/>
      <c r="B13" s="4"/>
      <c r="C13" s="4"/>
      <c r="D13" s="4"/>
      <c r="E13" s="5"/>
    </row>
    <row r="14" spans="1:7" x14ac:dyDescent="0.35">
      <c r="A14" s="28" t="s">
        <v>8</v>
      </c>
      <c r="B14" s="4"/>
      <c r="C14" s="4"/>
      <c r="D14" s="4" t="s">
        <v>14</v>
      </c>
      <c r="E14" s="5"/>
    </row>
    <row r="15" spans="1:7" x14ac:dyDescent="0.35">
      <c r="A15" s="24" t="s">
        <v>0</v>
      </c>
      <c r="B15" s="1"/>
      <c r="C15" s="35" t="str">
        <f>IF(B15&gt;(0.1*$B$2),"Hoger dan verwacht","")</f>
        <v/>
      </c>
      <c r="D15" s="1" t="s">
        <v>16</v>
      </c>
      <c r="E15" s="11">
        <f>IF(D15="Nee", B15*1.8, 0)</f>
        <v>0</v>
      </c>
    </row>
    <row r="16" spans="1:7" x14ac:dyDescent="0.35">
      <c r="A16" s="24" t="s">
        <v>1</v>
      </c>
      <c r="B16" s="1"/>
      <c r="C16" s="35" t="str">
        <f>IF(B16&gt;(0.2*$B$2),"Hoger dan verwacht","")</f>
        <v/>
      </c>
      <c r="D16" s="1" t="s">
        <v>16</v>
      </c>
      <c r="E16" s="11">
        <f>IF(D16="Nee",B16*1.2,0)</f>
        <v>0</v>
      </c>
      <c r="F16" s="25"/>
    </row>
    <row r="17" spans="1:5" x14ac:dyDescent="0.35">
      <c r="A17" s="24" t="s">
        <v>2</v>
      </c>
      <c r="B17" s="1"/>
      <c r="C17" s="35" t="str">
        <f t="shared" ref="C17" si="0">IF(B17&gt;(0.1*$B$2),"Hoger dan verwacht","")</f>
        <v/>
      </c>
      <c r="D17" s="1" t="s">
        <v>16</v>
      </c>
      <c r="E17" s="11">
        <f>IF(D17="Nee",B17*1.2,0)</f>
        <v>0</v>
      </c>
    </row>
    <row r="18" spans="1:5" x14ac:dyDescent="0.35">
      <c r="A18" s="24" t="s">
        <v>3</v>
      </c>
      <c r="B18" s="1"/>
      <c r="C18" s="35" t="str">
        <f>IF(B18&gt;(0.05*$B$2),"Hoger dan verwacht","")</f>
        <v/>
      </c>
      <c r="D18" s="1" t="s">
        <v>16</v>
      </c>
      <c r="E18" s="11">
        <f>IF(D18="Nee",B18*1.2,0)</f>
        <v>0</v>
      </c>
    </row>
    <row r="19" spans="1:5" x14ac:dyDescent="0.35">
      <c r="A19" s="24" t="s">
        <v>4</v>
      </c>
      <c r="B19" s="1"/>
      <c r="C19" s="35" t="str">
        <f>IF(B19&gt;(0.05*$B$2),"Hoger dan verwacht","")</f>
        <v/>
      </c>
      <c r="D19" s="1" t="s">
        <v>16</v>
      </c>
      <c r="E19" s="11">
        <f>IF(D19="Nee",B19*1,0)</f>
        <v>0</v>
      </c>
    </row>
    <row r="20" spans="1:5" x14ac:dyDescent="0.35">
      <c r="A20" s="3"/>
      <c r="B20" s="4"/>
      <c r="C20" s="4"/>
      <c r="D20" s="4"/>
      <c r="E20" s="5"/>
    </row>
    <row r="21" spans="1:5" x14ac:dyDescent="0.35">
      <c r="A21" s="15" t="s">
        <v>9</v>
      </c>
      <c r="B21" s="22">
        <f>(B2*0.12 + E15 + E16 + E17 + E18 + E19) / 46</f>
        <v>5.4652173913043471</v>
      </c>
      <c r="C21" s="23"/>
      <c r="D21" s="23"/>
      <c r="E21" s="5"/>
    </row>
    <row r="22" spans="1:5" x14ac:dyDescent="0.35">
      <c r="A22" s="3"/>
      <c r="B22" s="4"/>
      <c r="C22" s="4"/>
      <c r="D22" s="4"/>
      <c r="E22" s="5"/>
    </row>
    <row r="23" spans="1:5" x14ac:dyDescent="0.35">
      <c r="A23" s="15" t="s">
        <v>5</v>
      </c>
      <c r="B23" s="1"/>
      <c r="C23" s="4"/>
      <c r="D23" s="4"/>
      <c r="E23" s="5"/>
    </row>
    <row r="24" spans="1:5" x14ac:dyDescent="0.35">
      <c r="A24" s="3"/>
      <c r="B24" s="4"/>
      <c r="C24" s="4"/>
      <c r="D24" s="4"/>
      <c r="E24" s="5"/>
    </row>
    <row r="25" spans="1:5" ht="29.4" customHeight="1" thickBot="1" x14ac:dyDescent="0.4">
      <c r="A25" s="7" t="s">
        <v>12</v>
      </c>
      <c r="B25" s="8">
        <f xml:space="preserve"> ROUNDUP(((0.25 * 46 * MIN(B21,B23) * 55.88)/B2),2)</f>
        <v>1.68</v>
      </c>
      <c r="C25" s="21"/>
      <c r="D25" s="37"/>
      <c r="E25" s="38"/>
    </row>
    <row r="26" spans="1:5" ht="15" thickBot="1" x14ac:dyDescent="0.4"/>
    <row r="27" spans="1:5" x14ac:dyDescent="0.35">
      <c r="A27" s="12" t="s">
        <v>34</v>
      </c>
      <c r="B27" s="13"/>
      <c r="C27" s="13"/>
      <c r="D27" s="13"/>
      <c r="E27" s="14"/>
    </row>
    <row r="28" spans="1:5" x14ac:dyDescent="0.35">
      <c r="A28" s="3"/>
      <c r="B28" s="4"/>
      <c r="C28" s="4"/>
      <c r="D28" s="4"/>
      <c r="E28" s="5"/>
    </row>
    <row r="29" spans="1:5" x14ac:dyDescent="0.35">
      <c r="A29" s="3" t="s">
        <v>17</v>
      </c>
      <c r="B29" s="1"/>
      <c r="C29" s="4"/>
      <c r="D29" s="4"/>
      <c r="E29" s="5"/>
    </row>
    <row r="30" spans="1:5" x14ac:dyDescent="0.35">
      <c r="A30" s="3"/>
      <c r="B30" s="4"/>
      <c r="C30" s="4"/>
      <c r="D30" s="4"/>
      <c r="E30" s="5"/>
    </row>
    <row r="31" spans="1:5" x14ac:dyDescent="0.35">
      <c r="A31" s="3" t="s">
        <v>18</v>
      </c>
      <c r="B31" s="16">
        <f>B29/B2</f>
        <v>0</v>
      </c>
      <c r="C31" s="4"/>
      <c r="D31" s="4"/>
      <c r="E31" s="5"/>
    </row>
    <row r="32" spans="1:5" x14ac:dyDescent="0.35">
      <c r="A32" s="3" t="s">
        <v>19</v>
      </c>
      <c r="B32" s="17">
        <f>IF(B31&gt;=15%, 8, IF(B31&gt;=10%, 5.3, IF(B31&gt;=7%, 4.4, IF(B31&gt;=4%, 3.5, IF(B31&gt;=2%, 2.6, 1.7)))))</f>
        <v>1.7</v>
      </c>
      <c r="C32" s="4"/>
      <c r="D32" s="18" t="s">
        <v>22</v>
      </c>
      <c r="E32" s="5"/>
    </row>
    <row r="33" spans="1:5" x14ac:dyDescent="0.35">
      <c r="A33" s="3" t="s">
        <v>20</v>
      </c>
      <c r="B33" s="19">
        <f>IF(B31&gt;=15%, 8.3, IF(B31&gt;=10%, 6.8, IF(B31&gt;=7%, 5.65, IF(B31&gt;=4%, 4.54, IF(B31&gt;=2%, 3.42, 2.27)))))</f>
        <v>2.27</v>
      </c>
      <c r="C33" s="4"/>
      <c r="D33" s="18" t="s">
        <v>23</v>
      </c>
      <c r="E33" s="5"/>
    </row>
    <row r="34" spans="1:5" x14ac:dyDescent="0.35">
      <c r="A34" s="15" t="s">
        <v>9</v>
      </c>
      <c r="B34" s="20">
        <f>B32*B2/2095</f>
        <v>1.7</v>
      </c>
      <c r="C34" s="4"/>
      <c r="D34" s="4"/>
      <c r="E34" s="5"/>
    </row>
    <row r="35" spans="1:5" x14ac:dyDescent="0.35">
      <c r="A35" s="3"/>
      <c r="B35" s="4"/>
      <c r="C35" s="4"/>
      <c r="D35" s="4"/>
      <c r="E35" s="5"/>
    </row>
    <row r="36" spans="1:5" x14ac:dyDescent="0.35">
      <c r="A36" s="15" t="s">
        <v>21</v>
      </c>
      <c r="B36" s="1"/>
      <c r="C36" s="4"/>
      <c r="D36" s="4"/>
      <c r="E36" s="5"/>
    </row>
    <row r="37" spans="1:5" x14ac:dyDescent="0.35">
      <c r="A37" s="3"/>
      <c r="B37" s="4"/>
      <c r="C37" s="4"/>
      <c r="D37" s="4"/>
      <c r="E37" s="5"/>
    </row>
    <row r="38" spans="1:5" ht="15" thickBot="1" x14ac:dyDescent="0.4">
      <c r="A38" s="7" t="s">
        <v>24</v>
      </c>
      <c r="B38" s="8">
        <f>ROUNDUP( MIN(B33, B33 * B36/B34) /4, 2)</f>
        <v>0</v>
      </c>
      <c r="C38" s="9"/>
      <c r="D38" s="9"/>
      <c r="E38" s="10"/>
    </row>
    <row r="39" spans="1:5" ht="15" thickBot="1" x14ac:dyDescent="0.4"/>
    <row r="40" spans="1:5" x14ac:dyDescent="0.35">
      <c r="A40" s="12" t="s">
        <v>35</v>
      </c>
      <c r="B40" s="13"/>
      <c r="C40" s="13"/>
      <c r="D40" s="13"/>
      <c r="E40" s="14"/>
    </row>
    <row r="41" spans="1:5" x14ac:dyDescent="0.35">
      <c r="A41" s="3"/>
      <c r="B41" s="4"/>
      <c r="C41" s="4"/>
      <c r="D41" s="4"/>
      <c r="E41" s="5"/>
    </row>
    <row r="42" spans="1:5" x14ac:dyDescent="0.35">
      <c r="A42" s="3" t="s">
        <v>25</v>
      </c>
      <c r="B42" s="1"/>
      <c r="C42" s="4"/>
      <c r="D42" s="4"/>
      <c r="E42" s="11">
        <f>MIN(2.37, 2.37 * B42/(2*B2/2095))</f>
        <v>0</v>
      </c>
    </row>
    <row r="43" spans="1:5" x14ac:dyDescent="0.35">
      <c r="A43" s="3" t="s">
        <v>26</v>
      </c>
      <c r="B43" s="1"/>
      <c r="C43" s="36" t="str">
        <f>IF(B43&gt;B42,"Mag niet meer zijn dan huisarts","")</f>
        <v/>
      </c>
      <c r="D43" s="4"/>
      <c r="E43" s="11">
        <f>MIN(1.18, 1.18 * B43/(2*B2/2095))</f>
        <v>0</v>
      </c>
    </row>
    <row r="44" spans="1:5" x14ac:dyDescent="0.35">
      <c r="A44" s="3" t="s">
        <v>27</v>
      </c>
      <c r="B44" s="1" t="s">
        <v>16</v>
      </c>
      <c r="C44" s="4"/>
      <c r="D44" s="4"/>
      <c r="E44" s="11">
        <f>IF(B44="Ja",0.79,0)</f>
        <v>0</v>
      </c>
    </row>
    <row r="45" spans="1:5" x14ac:dyDescent="0.35">
      <c r="A45" s="3" t="s">
        <v>28</v>
      </c>
      <c r="B45" s="1" t="s">
        <v>16</v>
      </c>
      <c r="C45" s="4"/>
      <c r="D45" s="4"/>
      <c r="E45" s="11">
        <f>IF(B45="Ja", 0.27,0)</f>
        <v>0</v>
      </c>
    </row>
    <row r="46" spans="1:5" x14ac:dyDescent="0.35">
      <c r="A46" s="3" t="s">
        <v>29</v>
      </c>
      <c r="B46" s="1"/>
      <c r="C46" s="4"/>
      <c r="D46" s="4"/>
      <c r="E46" s="11">
        <f>IF(B46&gt;=8.5, 1.59, IF(B46&gt;=7.5, 1.32, IF(B46&gt;=6.5, 1.06, 0)))</f>
        <v>0</v>
      </c>
    </row>
    <row r="47" spans="1:5" x14ac:dyDescent="0.35">
      <c r="A47" s="3"/>
      <c r="B47" s="4"/>
      <c r="C47" s="4"/>
      <c r="D47" s="4"/>
      <c r="E47" s="5"/>
    </row>
    <row r="48" spans="1:5" ht="15" thickBot="1" x14ac:dyDescent="0.4">
      <c r="A48" s="7" t="s">
        <v>30</v>
      </c>
      <c r="B48" s="8">
        <f>ROUNDUP( SUM(E42:E46)/4,2)</f>
        <v>0</v>
      </c>
      <c r="C48" s="9"/>
      <c r="D48" s="9"/>
      <c r="E48" s="10"/>
    </row>
  </sheetData>
  <sheetProtection algorithmName="SHA-512" hashValue="hkp6dYqV2Bbv1KeRQVCr2UkDOt8OJecCNLZ5mAO7+jsH8Kx8vOWlIMGRDFHKFvVwt//g4D37RJ17aX36xf7PkA==" saltValue="OL1S4eGIQff3G8UgKNr36A==" spinCount="100000" sheet="1" objects="1" scenarios="1"/>
  <mergeCells count="3">
    <mergeCell ref="D25:E25"/>
    <mergeCell ref="D10:E10"/>
    <mergeCell ref="D6:E6"/>
  </mergeCells>
  <dataValidations count="1">
    <dataValidation type="list" allowBlank="1" showInputMessage="1" showErrorMessage="1" sqref="D15:D19 B44:B45" xr:uid="{C46DA33D-5418-4366-B310-1B813767B87A}">
      <formula1>$G$1:$G$2</formula1>
    </dataValidation>
  </dataValidations>
  <pageMargins left="0.7" right="0.7" top="0.75" bottom="0.75" header="0.3" footer="0.3"/>
  <pageSetup paperSize="9" orientation="portrait" verticalDpi="0" r:id="rId1"/>
  <ignoredErrors>
    <ignoredError sqref="C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Rekentool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Brown</dc:creator>
  <cp:lastModifiedBy>Susanne Brown</cp:lastModifiedBy>
  <dcterms:created xsi:type="dcterms:W3CDTF">2019-11-11T12:50:59Z</dcterms:created>
  <dcterms:modified xsi:type="dcterms:W3CDTF">2020-09-30T12:18:50Z</dcterms:modified>
</cp:coreProperties>
</file>