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tef\Downloads\"/>
    </mc:Choice>
  </mc:AlternateContent>
  <xr:revisionPtr revIDLastSave="0" documentId="13_ncr:1_{7D3E26EB-CA58-4F7B-B9D2-97217B86D26D}" xr6:coauthVersionLast="47" xr6:coauthVersionMax="47" xr10:uidLastSave="{00000000-0000-0000-0000-000000000000}"/>
  <bookViews>
    <workbookView xWindow="-120" yWindow="-120" windowWidth="29040" windowHeight="15840" xr2:uid="{F8F023B2-F384-400A-B34A-056AE2B6415E}"/>
  </bookViews>
  <sheets>
    <sheet name="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E42" i="1"/>
  <c r="E41" i="1"/>
  <c r="B45" i="1" s="1"/>
  <c r="B6" i="1"/>
  <c r="B10" i="1" s="1"/>
  <c r="C16" i="1"/>
  <c r="B30" i="1" l="1"/>
  <c r="B32" i="1" s="1"/>
  <c r="E18" i="1"/>
  <c r="C18" i="1"/>
  <c r="E17" i="1"/>
  <c r="C17" i="1"/>
  <c r="E16" i="1"/>
  <c r="E15" i="1"/>
  <c r="C15" i="1"/>
  <c r="B20" i="1" l="1"/>
  <c r="B24" i="1" s="1"/>
  <c r="B31" i="1"/>
  <c r="B33" i="1" s="1"/>
  <c r="B37" i="1" l="1"/>
</calcChain>
</file>

<file path=xl/sharedStrings.xml><?xml version="1.0" encoding="utf-8"?>
<sst xmlns="http://schemas.openxmlformats.org/spreadsheetml/2006/main" count="39" uniqueCount="33">
  <si>
    <t>VUL DE GELE VELDEN IN</t>
  </si>
  <si>
    <t>Ja</t>
  </si>
  <si>
    <t xml:space="preserve">Totaal aantal patiënten </t>
  </si>
  <si>
    <t>Nee</t>
  </si>
  <si>
    <t>POH-GGZ 2024</t>
  </si>
  <si>
    <t>Maximaal te vergoeden aantal uur inzet</t>
  </si>
  <si>
    <r>
      <t xml:space="preserve">De NZa-beleidsregel rekent voor de POH-GGZ met maximaal </t>
    </r>
    <r>
      <rPr>
        <i/>
        <sz val="11"/>
        <color rgb="FFFF0000"/>
        <rFont val="Calibri"/>
        <family val="2"/>
        <scheme val="minor"/>
      </rPr>
      <t>16 uur</t>
    </r>
    <r>
      <rPr>
        <i/>
        <sz val="11"/>
        <color theme="1"/>
        <rFont val="Calibri"/>
        <family val="2"/>
        <scheme val="minor"/>
      </rPr>
      <t xml:space="preserve"> per 2.350 patiënten.</t>
    </r>
  </si>
  <si>
    <t>Aantal uur daadwerkelijke POH-GGZ inzet per week voor volwassenen</t>
  </si>
  <si>
    <t>Kwartaaltarief POH-GGZ voor uren inzet</t>
  </si>
  <si>
    <r>
      <t xml:space="preserve">Hierbij worden eventuele bedragen voor beslisondersteunend instrument, e-mental health en/of overige afspraken nog opgeteld. Het resulterende totaalbedrag wordt verdeeld over codes 11201 en 31343. Hierbij wordt het bedrag tot </t>
    </r>
    <r>
      <rPr>
        <b/>
        <i/>
        <sz val="11"/>
        <color theme="1"/>
        <rFont val="Calibri"/>
        <family val="2"/>
        <scheme val="minor"/>
      </rPr>
      <t>€4,91</t>
    </r>
    <r>
      <rPr>
        <i/>
        <sz val="11"/>
        <color theme="1"/>
        <rFont val="Calibri"/>
        <family val="2"/>
        <scheme val="minor"/>
      </rPr>
      <t xml:space="preserve"> op code 11201 geplaatst, en een eventueel meerbedrag op code 31343. </t>
    </r>
  </si>
  <si>
    <t>POH-S 2024</t>
  </si>
  <si>
    <t>Aantal patiënten per chronische groep</t>
  </si>
  <si>
    <t>Neemt u voor deze keten deel aan Ketenzorg NU of Mediis?</t>
  </si>
  <si>
    <t>DM2</t>
  </si>
  <si>
    <t>CVRM</t>
  </si>
  <si>
    <t>COPD</t>
  </si>
  <si>
    <t>Astma</t>
  </si>
  <si>
    <t>Aantal uur daadwerkelijke POH-S inzet per week</t>
  </si>
  <si>
    <t>Kwartaaltarief POH-S op code 31080</t>
  </si>
  <si>
    <t>POH-ouderen 2024</t>
  </si>
  <si>
    <t>Aantal 75-plussers</t>
  </si>
  <si>
    <t>Percentage 75-plussers</t>
  </si>
  <si>
    <t>Normuren</t>
  </si>
  <si>
    <t>Maximaal te vergoeden uur per 2.095 patiënten</t>
  </si>
  <si>
    <t>Normtarief</t>
  </si>
  <si>
    <t>Maximaal te vergoeden jaartarief</t>
  </si>
  <si>
    <t>Aantal uur daadwerkelijke POH-ouderen inzet per week</t>
  </si>
  <si>
    <t>Kwartaaltarief POH-ouderen op code 31060</t>
  </si>
  <si>
    <t>Service &amp; Bereikbaarheid 2024</t>
  </si>
  <si>
    <t>Aantal uur ochtend-/avondspreekuur</t>
  </si>
  <si>
    <t>Digitaal afspraken maken en digitaal herhaalrecepten aanvragen</t>
  </si>
  <si>
    <t>E-consult en beeldbelconsult</t>
  </si>
  <si>
    <t>Kwartaaltarief service &amp; bereikbaarheid op code 30121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</si>
</sst>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%"/>
    <numFmt numFmtId="165" formatCode="_ &quot;€&quot;\ * #,##0.0000_ ;_ &quot;€&quot;\ * \-#,##0.0000_ ;_ &quot;€&quot;\ * &quot;-&quot;??_ ;_ @_ "/>
    <numFmt numFmtId="166" formatCode="_ * #,##0.000_ ;_ * \-#,##0.0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5" fillId="2" borderId="0" xfId="0" applyFont="1" applyFill="1"/>
    <xf numFmtId="0" fontId="0" fillId="2" borderId="0" xfId="0" applyFill="1"/>
    <xf numFmtId="0" fontId="4" fillId="2" borderId="0" xfId="0" applyFont="1" applyFill="1"/>
    <xf numFmtId="0" fontId="3" fillId="3" borderId="1" xfId="0" applyFont="1" applyFill="1" applyBorder="1" applyAlignment="1">
      <alignment wrapText="1"/>
    </xf>
    <xf numFmtId="0" fontId="3" fillId="4" borderId="2" xfId="0" applyFont="1" applyFill="1" applyBorder="1" applyProtection="1">
      <protection locked="0"/>
    </xf>
    <xf numFmtId="0" fontId="6" fillId="2" borderId="0" xfId="0" applyFont="1" applyFill="1"/>
    <xf numFmtId="0" fontId="3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3" fillId="3" borderId="6" xfId="0" applyFont="1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left"/>
    </xf>
    <xf numFmtId="2" fontId="0" fillId="3" borderId="8" xfId="0" applyNumberFormat="1" applyFill="1" applyBorder="1"/>
    <xf numFmtId="2" fontId="0" fillId="3" borderId="0" xfId="0" applyNumberFormat="1" applyFill="1"/>
    <xf numFmtId="0" fontId="0" fillId="3" borderId="6" xfId="0" applyFill="1" applyBorder="1" applyAlignment="1">
      <alignment wrapText="1"/>
    </xf>
    <xf numFmtId="0" fontId="0" fillId="4" borderId="8" xfId="0" applyFill="1" applyBorder="1" applyProtection="1">
      <protection locked="0"/>
    </xf>
    <xf numFmtId="0" fontId="6" fillId="3" borderId="6" xfId="0" applyFont="1" applyFill="1" applyBorder="1"/>
    <xf numFmtId="0" fontId="0" fillId="3" borderId="9" xfId="0" applyFill="1" applyBorder="1" applyAlignment="1">
      <alignment wrapText="1"/>
    </xf>
    <xf numFmtId="44" fontId="0" fillId="5" borderId="10" xfId="1" applyFont="1" applyFill="1" applyBorder="1" applyProtection="1"/>
    <xf numFmtId="44" fontId="0" fillId="3" borderId="11" xfId="1" applyFont="1" applyFill="1" applyBorder="1" applyProtection="1"/>
    <xf numFmtId="0" fontId="0" fillId="3" borderId="6" xfId="0" applyFill="1" applyBorder="1"/>
    <xf numFmtId="0" fontId="0" fillId="3" borderId="6" xfId="0" applyFill="1" applyBorder="1" applyAlignment="1">
      <alignment horizontal="right"/>
    </xf>
    <xf numFmtId="0" fontId="2" fillId="3" borderId="0" xfId="0" applyFont="1" applyFill="1"/>
    <xf numFmtId="0" fontId="8" fillId="3" borderId="7" xfId="0" applyFont="1" applyFill="1" applyBorder="1"/>
    <xf numFmtId="0" fontId="0" fillId="3" borderId="9" xfId="0" applyFill="1" applyBorder="1"/>
    <xf numFmtId="10" fontId="0" fillId="3" borderId="8" xfId="2" applyNumberFormat="1" applyFont="1" applyFill="1" applyBorder="1" applyProtection="1"/>
    <xf numFmtId="0" fontId="0" fillId="3" borderId="8" xfId="0" applyFill="1" applyBorder="1"/>
    <xf numFmtId="0" fontId="7" fillId="3" borderId="0" xfId="0" applyFont="1" applyFill="1"/>
    <xf numFmtId="2" fontId="0" fillId="2" borderId="0" xfId="0" applyNumberFormat="1" applyFill="1"/>
    <xf numFmtId="44" fontId="0" fillId="3" borderId="8" xfId="1" applyFont="1" applyFill="1" applyBorder="1" applyProtection="1"/>
    <xf numFmtId="0" fontId="0" fillId="3" borderId="11" xfId="0" applyFill="1" applyBorder="1"/>
    <xf numFmtId="0" fontId="0" fillId="3" borderId="12" xfId="0" applyFill="1" applyBorder="1"/>
    <xf numFmtId="44" fontId="0" fillId="3" borderId="0" xfId="0" applyNumberFormat="1" applyFill="1"/>
    <xf numFmtId="9" fontId="0" fillId="3" borderId="0" xfId="2" applyFont="1" applyFill="1"/>
    <xf numFmtId="164" fontId="0" fillId="3" borderId="0" xfId="2" applyNumberFormat="1" applyFont="1" applyFill="1"/>
    <xf numFmtId="44" fontId="0" fillId="3" borderId="12" xfId="0" applyNumberFormat="1" applyFill="1" applyBorder="1"/>
    <xf numFmtId="44" fontId="0" fillId="2" borderId="0" xfId="0" applyNumberFormat="1" applyFill="1"/>
    <xf numFmtId="164" fontId="0" fillId="3" borderId="11" xfId="2" applyNumberFormat="1" applyFont="1" applyFill="1" applyBorder="1"/>
    <xf numFmtId="10" fontId="0" fillId="3" borderId="11" xfId="2" applyNumberFormat="1" applyFont="1" applyFill="1" applyBorder="1"/>
    <xf numFmtId="166" fontId="0" fillId="3" borderId="11" xfId="3" applyNumberFormat="1" applyFont="1" applyFill="1" applyBorder="1" applyProtection="1"/>
    <xf numFmtId="0" fontId="7" fillId="3" borderId="0" xfId="0" applyFont="1" applyFill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165" fontId="7" fillId="3" borderId="11" xfId="0" applyNumberFormat="1" applyFont="1" applyFill="1" applyBorder="1" applyAlignment="1">
      <alignment horizontal="left" wrapText="1"/>
    </xf>
    <xf numFmtId="165" fontId="7" fillId="3" borderId="12" xfId="0" applyNumberFormat="1" applyFont="1" applyFill="1" applyBorder="1" applyAlignment="1">
      <alignment horizontal="left" wrapText="1"/>
    </xf>
  </cellXfs>
  <cellStyles count="4">
    <cellStyle name="Komma" xfId="3" builtinId="3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0858-0A51-42F8-B49E-B45E7C70D3AF}">
  <dimension ref="A1:I45"/>
  <sheetViews>
    <sheetView tabSelected="1" topLeftCell="A3" workbookViewId="0">
      <selection activeCell="D18" sqref="D18"/>
    </sheetView>
  </sheetViews>
  <sheetFormatPr defaultColWidth="8.7109375" defaultRowHeight="15" x14ac:dyDescent="0.25"/>
  <cols>
    <col min="1" max="1" width="58.5703125" style="2" bestFit="1" customWidth="1"/>
    <col min="2" max="2" width="21.42578125" style="2" customWidth="1"/>
    <col min="3" max="3" width="17.7109375" style="2" customWidth="1"/>
    <col min="4" max="4" width="9.42578125" style="2" customWidth="1"/>
    <col min="5" max="5" width="82.5703125" style="2" customWidth="1"/>
    <col min="6" max="8" width="8.7109375" style="2"/>
    <col min="9" max="9" width="9.5703125" style="2" bestFit="1" customWidth="1"/>
    <col min="10" max="16384" width="8.7109375" style="2"/>
  </cols>
  <sheetData>
    <row r="1" spans="1:7" ht="21" x14ac:dyDescent="0.35">
      <c r="A1" s="1" t="s">
        <v>0</v>
      </c>
      <c r="E1"/>
      <c r="G1" s="3" t="s">
        <v>1</v>
      </c>
    </row>
    <row r="2" spans="1:7" x14ac:dyDescent="0.25">
      <c r="A2" s="4" t="s">
        <v>2</v>
      </c>
      <c r="B2" s="5">
        <v>2350</v>
      </c>
      <c r="G2" s="3" t="s">
        <v>3</v>
      </c>
    </row>
    <row r="3" spans="1:7" x14ac:dyDescent="0.25">
      <c r="A3" s="6"/>
    </row>
    <row r="4" spans="1:7" x14ac:dyDescent="0.25">
      <c r="A4" s="7" t="s">
        <v>4</v>
      </c>
      <c r="B4" s="8"/>
      <c r="C4" s="8"/>
      <c r="D4" s="8"/>
      <c r="E4" s="9"/>
    </row>
    <row r="5" spans="1:7" x14ac:dyDescent="0.25">
      <c r="A5" s="10"/>
      <c r="B5" s="11"/>
      <c r="C5" s="11"/>
      <c r="D5" s="11"/>
      <c r="E5" s="12"/>
    </row>
    <row r="6" spans="1:7" x14ac:dyDescent="0.25">
      <c r="A6" s="13" t="s">
        <v>5</v>
      </c>
      <c r="B6" s="14">
        <f>B2/2350*16</f>
        <v>16</v>
      </c>
      <c r="C6" s="15"/>
      <c r="D6" s="42" t="s">
        <v>6</v>
      </c>
      <c r="E6" s="43"/>
    </row>
    <row r="7" spans="1:7" x14ac:dyDescent="0.25">
      <c r="A7" s="10"/>
      <c r="B7" s="11"/>
      <c r="C7" s="11"/>
      <c r="D7" s="11"/>
      <c r="E7" s="12"/>
    </row>
    <row r="8" spans="1:7" ht="30" x14ac:dyDescent="0.25">
      <c r="A8" s="16" t="s">
        <v>7</v>
      </c>
      <c r="B8" s="17"/>
      <c r="C8" s="11"/>
      <c r="D8" s="11"/>
      <c r="E8" s="12"/>
    </row>
    <row r="9" spans="1:7" x14ac:dyDescent="0.25">
      <c r="A9" s="18"/>
      <c r="B9" s="11"/>
      <c r="C9" s="11"/>
      <c r="D9" s="11"/>
      <c r="E9" s="12"/>
    </row>
    <row r="10" spans="1:7" ht="43.9" customHeight="1" thickBot="1" x14ac:dyDescent="0.3">
      <c r="A10" s="19" t="s">
        <v>8</v>
      </c>
      <c r="B10" s="20">
        <f>MIN(B8/B6*4.91, 4.91)</f>
        <v>0</v>
      </c>
      <c r="C10" s="41"/>
      <c r="D10" s="44" t="s">
        <v>9</v>
      </c>
      <c r="E10" s="45"/>
    </row>
    <row r="11" spans="1:7" ht="15.75" thickBot="1" x14ac:dyDescent="0.3"/>
    <row r="12" spans="1:7" x14ac:dyDescent="0.25">
      <c r="A12" s="7" t="s">
        <v>10</v>
      </c>
      <c r="B12" s="8"/>
      <c r="C12" s="8"/>
      <c r="D12" s="8"/>
      <c r="E12" s="9"/>
    </row>
    <row r="13" spans="1:7" x14ac:dyDescent="0.25">
      <c r="A13" s="22"/>
      <c r="B13" s="11"/>
      <c r="C13" s="11"/>
      <c r="D13" s="11"/>
      <c r="E13" s="12"/>
    </row>
    <row r="14" spans="1:7" x14ac:dyDescent="0.25">
      <c r="A14" s="16" t="s">
        <v>11</v>
      </c>
      <c r="B14" s="11"/>
      <c r="C14" s="11"/>
      <c r="D14" s="11" t="s">
        <v>12</v>
      </c>
      <c r="E14" s="12"/>
    </row>
    <row r="15" spans="1:7" x14ac:dyDescent="0.25">
      <c r="A15" s="23" t="s">
        <v>13</v>
      </c>
      <c r="B15" s="17"/>
      <c r="C15" s="24" t="str">
        <f>IF(B15&gt;(0.1*$B$2),"Hoger dan verwacht","")</f>
        <v/>
      </c>
      <c r="D15" s="17" t="s">
        <v>3</v>
      </c>
      <c r="E15" s="25">
        <f>IF(D15="Nee", B15*1.8, 0)</f>
        <v>0</v>
      </c>
    </row>
    <row r="16" spans="1:7" x14ac:dyDescent="0.25">
      <c r="A16" s="23" t="s">
        <v>14</v>
      </c>
      <c r="B16" s="17"/>
      <c r="C16" s="24" t="str">
        <f>IF(B16&gt;(0.3*$B$2),"Hoger dan verwacht","")</f>
        <v/>
      </c>
      <c r="D16" s="17" t="s">
        <v>3</v>
      </c>
      <c r="E16" s="25">
        <f>IF(D16="Nee",B16*1.2,0)</f>
        <v>0</v>
      </c>
    </row>
    <row r="17" spans="1:9" x14ac:dyDescent="0.25">
      <c r="A17" s="23" t="s">
        <v>15</v>
      </c>
      <c r="B17" s="17"/>
      <c r="C17" s="24" t="str">
        <f>IF(B17&gt;(0.05*$B$2),"Hoger dan verwacht","")</f>
        <v/>
      </c>
      <c r="D17" s="17" t="s">
        <v>3</v>
      </c>
      <c r="E17" s="25">
        <f>IF(D17="Nee",B17*1.2,0)</f>
        <v>0</v>
      </c>
    </row>
    <row r="18" spans="1:9" x14ac:dyDescent="0.25">
      <c r="A18" s="23" t="s">
        <v>16</v>
      </c>
      <c r="B18" s="17"/>
      <c r="C18" s="24" t="str">
        <f>IF(B18&gt;(0.05*$B$2),"Hoger dan verwacht","")</f>
        <v/>
      </c>
      <c r="D18" s="17" t="s">
        <v>3</v>
      </c>
      <c r="E18" s="25">
        <f>IF(D18="Nee",B18*1,0)</f>
        <v>0</v>
      </c>
    </row>
    <row r="19" spans="1:9" x14ac:dyDescent="0.25">
      <c r="A19" s="22"/>
      <c r="B19" s="11"/>
      <c r="C19" s="11"/>
      <c r="D19" s="11"/>
      <c r="E19" s="12"/>
    </row>
    <row r="20" spans="1:9" x14ac:dyDescent="0.25">
      <c r="A20" s="13" t="s">
        <v>5</v>
      </c>
      <c r="B20" s="14">
        <f>(B2*0.12 + E15 + E16 + E17 + E18) / 46</f>
        <v>6.1304347826086953</v>
      </c>
      <c r="C20" s="15"/>
      <c r="D20" s="15"/>
      <c r="E20" s="12"/>
    </row>
    <row r="21" spans="1:9" x14ac:dyDescent="0.25">
      <c r="A21" s="22"/>
      <c r="B21" s="11"/>
      <c r="C21" s="11"/>
      <c r="D21" s="11"/>
      <c r="E21" s="12"/>
    </row>
    <row r="22" spans="1:9" x14ac:dyDescent="0.25">
      <c r="A22" s="13" t="s">
        <v>17</v>
      </c>
      <c r="B22" s="17"/>
      <c r="C22" s="11"/>
      <c r="D22" s="11"/>
      <c r="E22" s="12"/>
    </row>
    <row r="23" spans="1:9" x14ac:dyDescent="0.25">
      <c r="A23" s="22"/>
      <c r="B23" s="11"/>
      <c r="C23" s="11"/>
      <c r="D23" s="11"/>
      <c r="E23" s="12"/>
    </row>
    <row r="24" spans="1:9" ht="15.75" thickBot="1" x14ac:dyDescent="0.3">
      <c r="A24" s="26" t="s">
        <v>18</v>
      </c>
      <c r="B24" s="20">
        <f xml:space="preserve"> ROUNDUP(((0.25 * 46 * MIN(B20,B22) * 64.88)/B2),2)</f>
        <v>1.95</v>
      </c>
      <c r="C24" s="21"/>
      <c r="D24" s="46"/>
      <c r="E24" s="47"/>
    </row>
    <row r="25" spans="1:9" ht="15.75" thickBot="1" x14ac:dyDescent="0.3"/>
    <row r="26" spans="1:9" x14ac:dyDescent="0.25">
      <c r="A26" s="7" t="s">
        <v>19</v>
      </c>
      <c r="B26" s="8"/>
      <c r="C26" s="8"/>
      <c r="D26" s="8"/>
      <c r="E26" s="9"/>
    </row>
    <row r="27" spans="1:9" x14ac:dyDescent="0.25">
      <c r="A27" s="22"/>
      <c r="B27" s="11"/>
      <c r="C27" s="11"/>
      <c r="D27" s="11"/>
      <c r="E27" s="12"/>
    </row>
    <row r="28" spans="1:9" x14ac:dyDescent="0.25">
      <c r="A28" s="22" t="s">
        <v>20</v>
      </c>
      <c r="B28" s="17"/>
      <c r="C28" s="11"/>
      <c r="D28" s="11"/>
      <c r="E28" s="12"/>
    </row>
    <row r="29" spans="1:9" x14ac:dyDescent="0.25">
      <c r="A29" s="22"/>
      <c r="B29" s="11"/>
      <c r="C29" s="11"/>
      <c r="D29" s="11"/>
      <c r="E29" s="12"/>
    </row>
    <row r="30" spans="1:9" x14ac:dyDescent="0.25">
      <c r="A30" s="22" t="s">
        <v>21</v>
      </c>
      <c r="B30" s="27">
        <f>B28/B2</f>
        <v>0</v>
      </c>
      <c r="C30" s="11"/>
      <c r="D30" s="11"/>
      <c r="E30" s="12"/>
    </row>
    <row r="31" spans="1:9" x14ac:dyDescent="0.25">
      <c r="A31" s="22" t="s">
        <v>22</v>
      </c>
      <c r="B31" s="28">
        <f>IF(B30&gt;=15%, 9.6, IF(B30&gt;=10%, 6.4, IF(B30&gt;=7%, 5.3, IF(B30&gt;=4%, 4.2, IF(B30&gt;=2%, 3.1, 2)))))</f>
        <v>2</v>
      </c>
      <c r="C31" s="11"/>
      <c r="D31" s="29" t="s">
        <v>23</v>
      </c>
      <c r="E31" s="12"/>
      <c r="I31" s="30"/>
    </row>
    <row r="32" spans="1:9" x14ac:dyDescent="0.25">
      <c r="A32" s="22" t="s">
        <v>24</v>
      </c>
      <c r="B32" s="31">
        <f>IF(B30&gt;=15%, 11.58, IF(B30&gt;=10%, 9.5, IF(B30&gt;=7%, 7.88, IF(B30&gt;=4%, 6.32, IF(B30&gt;=2%, 4.77, 3.17)))))</f>
        <v>3.17</v>
      </c>
      <c r="C32" s="11"/>
      <c r="D32" s="29" t="s">
        <v>25</v>
      </c>
      <c r="E32" s="12"/>
      <c r="I32" s="30"/>
    </row>
    <row r="33" spans="1:6" x14ac:dyDescent="0.25">
      <c r="A33" s="13" t="s">
        <v>5</v>
      </c>
      <c r="B33" s="14">
        <f>B31*B2/2095</f>
        <v>2.2434367541766109</v>
      </c>
      <c r="C33" s="36"/>
      <c r="D33" s="11"/>
      <c r="E33" s="12"/>
    </row>
    <row r="34" spans="1:6" x14ac:dyDescent="0.25">
      <c r="A34" s="22"/>
      <c r="B34" s="11"/>
      <c r="C34" s="35"/>
      <c r="D34" s="11"/>
      <c r="E34" s="12"/>
    </row>
    <row r="35" spans="1:6" x14ac:dyDescent="0.25">
      <c r="A35" s="13" t="s">
        <v>26</v>
      </c>
      <c r="B35" s="17"/>
      <c r="C35" s="11"/>
      <c r="D35" s="34"/>
      <c r="E35" s="12"/>
    </row>
    <row r="36" spans="1:6" x14ac:dyDescent="0.25">
      <c r="A36" s="22"/>
      <c r="B36" s="11"/>
      <c r="C36" s="11"/>
      <c r="D36" s="36"/>
      <c r="E36" s="12"/>
    </row>
    <row r="37" spans="1:6" ht="15.75" thickBot="1" x14ac:dyDescent="0.3">
      <c r="A37" s="26" t="s">
        <v>27</v>
      </c>
      <c r="B37" s="20">
        <f>ROUNDUP( MIN(B32, B32 * B35/B33) /4, 2)</f>
        <v>0</v>
      </c>
      <c r="C37" s="39"/>
      <c r="D37" s="40"/>
      <c r="E37" s="37"/>
      <c r="F37" s="38"/>
    </row>
    <row r="38" spans="1:6" ht="15.75" thickBot="1" x14ac:dyDescent="0.3"/>
    <row r="39" spans="1:6" x14ac:dyDescent="0.25">
      <c r="A39" s="7" t="s">
        <v>28</v>
      </c>
      <c r="B39" s="8"/>
      <c r="C39" s="8"/>
      <c r="D39" s="8"/>
      <c r="E39" s="9"/>
    </row>
    <row r="40" spans="1:6" x14ac:dyDescent="0.25">
      <c r="A40" s="22"/>
      <c r="B40" s="11"/>
      <c r="C40" s="11"/>
      <c r="D40" s="11"/>
      <c r="E40" s="12"/>
    </row>
    <row r="41" spans="1:6" x14ac:dyDescent="0.25">
      <c r="A41" s="22" t="s">
        <v>29</v>
      </c>
      <c r="B41" s="17"/>
      <c r="C41" s="11"/>
      <c r="D41" s="11"/>
      <c r="E41" s="25">
        <f>MIN(4.13, 4.13 * B41/(2*B2/2095))</f>
        <v>0</v>
      </c>
    </row>
    <row r="42" spans="1:6" x14ac:dyDescent="0.25">
      <c r="A42" s="22" t="s">
        <v>30</v>
      </c>
      <c r="B42" s="17"/>
      <c r="C42" s="11"/>
      <c r="D42" s="11"/>
      <c r="E42" s="25">
        <f>IF(B42="Ja",1.24,0)</f>
        <v>0</v>
      </c>
    </row>
    <row r="43" spans="1:6" x14ac:dyDescent="0.25">
      <c r="A43" s="22" t="s">
        <v>31</v>
      </c>
      <c r="B43" s="17"/>
      <c r="C43" s="11"/>
      <c r="D43" s="11"/>
      <c r="E43" s="25">
        <f>IF(B43="Ja",1.13,0)</f>
        <v>0</v>
      </c>
    </row>
    <row r="44" spans="1:6" x14ac:dyDescent="0.25">
      <c r="A44" s="22"/>
      <c r="B44" s="11"/>
      <c r="C44" s="11"/>
      <c r="D44" s="11"/>
      <c r="E44" s="25">
        <f>IF(AND(B42="Ja",B43="Ja"),0.3,0)</f>
        <v>0</v>
      </c>
    </row>
    <row r="45" spans="1:6" ht="15.75" thickBot="1" x14ac:dyDescent="0.3">
      <c r="A45" s="26" t="s">
        <v>32</v>
      </c>
      <c r="B45" s="20">
        <f>ROUNDUP(SUM(E41:E44)/4,2)</f>
        <v>0</v>
      </c>
      <c r="C45" s="39"/>
      <c r="D45" s="32"/>
      <c r="E45" s="33"/>
    </row>
  </sheetData>
  <sheetProtection algorithmName="SHA-512" hashValue="XN+MdyKOPovSyPS9u7XVXMnMUqb5KV8WPckVdHk7jjKrE0wkzXckKKUQfcAzjD1SqZt/l2LhuLzf2+dMnhk+Uw==" saltValue="K1Km0SNAXBEKhz7QGPuoPg==" spinCount="100000" sheet="1" objects="1" scenarios="1"/>
  <mergeCells count="3">
    <mergeCell ref="D6:E6"/>
    <mergeCell ref="D10:E10"/>
    <mergeCell ref="D24:E24"/>
  </mergeCells>
  <dataValidations count="1">
    <dataValidation type="list" allowBlank="1" showInputMessage="1" showErrorMessage="1" sqref="B42:B43 D15:D18" xr:uid="{745E5A72-A89B-4B9F-8928-25680799180B}">
      <formula1>$G$1:$G$2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8d2134-892f-46f7-802c-ff3583773a75">
      <Terms xmlns="http://schemas.microsoft.com/office/infopath/2007/PartnerControls"/>
    </lcf76f155ced4ddcb4097134ff3c332f>
    <TaxCatchAll xmlns="069d71c8-5c7c-47ba-b391-cc11c78d2c9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9B09D8B3C6640A8EAD73A0382D30B" ma:contentTypeVersion="17" ma:contentTypeDescription="Een nieuw document maken." ma:contentTypeScope="" ma:versionID="73148343092e53789d02ae752142c77c">
  <xsd:schema xmlns:xsd="http://www.w3.org/2001/XMLSchema" xmlns:xs="http://www.w3.org/2001/XMLSchema" xmlns:p="http://schemas.microsoft.com/office/2006/metadata/properties" xmlns:ns2="798d2134-892f-46f7-802c-ff3583773a75" xmlns:ns3="069d71c8-5c7c-47ba-b391-cc11c78d2c98" targetNamespace="http://schemas.microsoft.com/office/2006/metadata/properties" ma:root="true" ma:fieldsID="1a3b388d7781851c4d08d883c8e708fa" ns2:_="" ns3:_="">
    <xsd:import namespace="798d2134-892f-46f7-802c-ff3583773a75"/>
    <xsd:import namespace="069d71c8-5c7c-47ba-b391-cc11c78d2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d2134-892f-46f7-802c-ff3583773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395d648-4b85-4c18-8f26-704d6908e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d71c8-5c7c-47ba-b391-cc11c78d2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c590f53-9ef6-4a8a-8c1b-80c574049739}" ma:internalName="TaxCatchAll" ma:showField="CatchAllData" ma:web="069d71c8-5c7c-47ba-b391-cc11c78d2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ECF9CD-D88A-4213-8C1D-D5EDF7110A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282751-A3D0-49E8-AB75-9381F62726AD}">
  <ds:schemaRefs>
    <ds:schemaRef ds:uri="http://schemas.microsoft.com/office/2006/metadata/properties"/>
    <ds:schemaRef ds:uri="http://schemas.microsoft.com/office/infopath/2007/PartnerControls"/>
    <ds:schemaRef ds:uri="798d2134-892f-46f7-802c-ff3583773a75"/>
    <ds:schemaRef ds:uri="069d71c8-5c7c-47ba-b391-cc11c78d2c98"/>
  </ds:schemaRefs>
</ds:datastoreItem>
</file>

<file path=customXml/itemProps3.xml><?xml version="1.0" encoding="utf-8"?>
<ds:datastoreItem xmlns:ds="http://schemas.openxmlformats.org/officeDocument/2006/customXml" ds:itemID="{83FABA0D-C06A-4AF1-B5BE-FD42B79A0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8d2134-892f-46f7-802c-ff3583773a75"/>
    <ds:schemaRef ds:uri="069d71c8-5c7c-47ba-b391-cc11c78d2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Iris Heinemann</dc:creator>
  <cp:keywords/>
  <dc:description/>
  <cp:lastModifiedBy>Bente Faassen</cp:lastModifiedBy>
  <cp:revision/>
  <dcterms:created xsi:type="dcterms:W3CDTF">2022-09-26T07:33:01Z</dcterms:created>
  <dcterms:modified xsi:type="dcterms:W3CDTF">2023-10-17T06:51:32Z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0x010100D6D9B09D8B3C6640A8EAD73A0382D30B</vt:lpwstr>
  </property>
  <property fmtid="{D5CDD505-2E9C-101B-9397-08002B2CF9AE}" pid="3" name="MediaServiceImageTags">
    <vt:lpwstr/>
  </property>
</Properties>
</file>